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regulatory/FP/GRA/2019NPGRA/Project Documents/QA/CA-NP/CA-NP-134 NEW/"/>
    </mc:Choice>
  </mc:AlternateContent>
  <bookViews>
    <workbookView xWindow="480" yWindow="168" windowWidth="18192" windowHeight="11760" activeTab="1"/>
  </bookViews>
  <sheets>
    <sheet name="Metrics" sheetId="5" r:id="rId1"/>
    <sheet name="Calcs" sheetId="4" r:id="rId2"/>
    <sheet name="IS" sheetId="1" r:id="rId3"/>
    <sheet name="BS" sheetId="2" r:id="rId4"/>
    <sheet name="CF" sheetId="3" r:id="rId5"/>
  </sheets>
  <definedNames>
    <definedName name="_xlnm.Print_Area" localSheetId="2">IS!$A$1:$J$16</definedName>
  </definedNames>
  <calcPr calcId="152511"/>
</workbook>
</file>

<file path=xl/calcChain.xml><?xml version="1.0" encoding="utf-8"?>
<calcChain xmlns="http://schemas.openxmlformats.org/spreadsheetml/2006/main">
  <c r="C24" i="4" l="1"/>
  <c r="C16" i="4"/>
  <c r="C15" i="4"/>
  <c r="C14" i="4"/>
  <c r="C12" i="4"/>
  <c r="C17" i="4" l="1"/>
  <c r="C19" i="4"/>
  <c r="C55" i="4" l="1"/>
  <c r="C49" i="4"/>
  <c r="C53" i="4" s="1"/>
  <c r="C39" i="4"/>
  <c r="C43" i="4" s="1"/>
  <c r="C31" i="4"/>
  <c r="C65" i="4" s="1"/>
  <c r="C26" i="4"/>
  <c r="C58" i="4" l="1"/>
  <c r="C60" i="4" s="1"/>
  <c r="B5" i="5" s="1"/>
  <c r="C71" i="4"/>
  <c r="C37" i="4"/>
  <c r="C45" i="4" s="1"/>
  <c r="B8" i="5" s="1"/>
  <c r="C33" i="4"/>
  <c r="B7" i="5" s="1"/>
  <c r="B10" i="3"/>
  <c r="B8" i="3"/>
  <c r="C14" i="2"/>
  <c r="C7" i="2"/>
  <c r="C6" i="2"/>
  <c r="C12" i="1"/>
  <c r="C11" i="1"/>
  <c r="C7" i="1"/>
  <c r="B11" i="3" l="1"/>
  <c r="B14" i="3" s="1"/>
  <c r="B16" i="3" s="1"/>
  <c r="B18" i="3" s="1"/>
  <c r="B20" i="3" s="1"/>
  <c r="C16" i="2" l="1"/>
  <c r="C8" i="2"/>
  <c r="C8" i="1"/>
  <c r="C10" i="1" l="1"/>
  <c r="C13" i="1" s="1"/>
  <c r="C15" i="1" s="1"/>
  <c r="C72" i="4"/>
  <c r="C74" i="4" s="1"/>
  <c r="B9" i="5" s="1"/>
  <c r="C64" i="4"/>
  <c r="C67" i="4" s="1"/>
  <c r="B6" i="5" s="1"/>
</calcChain>
</file>

<file path=xl/sharedStrings.xml><?xml version="1.0" encoding="utf-8"?>
<sst xmlns="http://schemas.openxmlformats.org/spreadsheetml/2006/main" count="113" uniqueCount="97">
  <si>
    <t>Revenues</t>
  </si>
  <si>
    <t>Purchased Power and Operating Costs</t>
  </si>
  <si>
    <t>EBITDA</t>
  </si>
  <si>
    <t>Amortization</t>
  </si>
  <si>
    <t xml:space="preserve">EBIT </t>
  </si>
  <si>
    <t>Earnings</t>
  </si>
  <si>
    <t>Current Assets</t>
  </si>
  <si>
    <t>Capital Assets/Intangibles</t>
  </si>
  <si>
    <t>Regulatory and Other Assets</t>
  </si>
  <si>
    <t>Current Liabilities</t>
  </si>
  <si>
    <t>Long-Term Debt</t>
  </si>
  <si>
    <t>Defined Benefit Pension Plan</t>
  </si>
  <si>
    <t>OPEBs</t>
  </si>
  <si>
    <t>Regulatory &amp; Other Liabilities</t>
  </si>
  <si>
    <t>Shareholders' Equity</t>
  </si>
  <si>
    <t>Cash From (Used In)</t>
  </si>
  <si>
    <t xml:space="preserve">    Financing Activities</t>
  </si>
  <si>
    <t>does not include efb</t>
  </si>
  <si>
    <t>depreciation only</t>
  </si>
  <si>
    <t>Interest &amp; Other</t>
  </si>
  <si>
    <t>Income Taxes</t>
  </si>
  <si>
    <t>includes other revenues; capitalized interest is netted and shown in row 8</t>
  </si>
  <si>
    <t>reg amortizations, efb costs, finance costs, capitalized interest</t>
  </si>
  <si>
    <t>Preferred Dividends</t>
  </si>
  <si>
    <t xml:space="preserve">    Net Earnings</t>
  </si>
  <si>
    <t xml:space="preserve">    Depreciation</t>
  </si>
  <si>
    <t xml:space="preserve">    Deferred Taxes</t>
  </si>
  <si>
    <t xml:space="preserve">    Other</t>
  </si>
  <si>
    <t xml:space="preserve">    Cash Flow From Operations</t>
  </si>
  <si>
    <t xml:space="preserve">    Common Dividends</t>
  </si>
  <si>
    <t xml:space="preserve">    Preferred Dividends</t>
  </si>
  <si>
    <t xml:space="preserve">    Cash Flow After Dividends</t>
  </si>
  <si>
    <t xml:space="preserve">    Capital Expenditure</t>
  </si>
  <si>
    <t xml:space="preserve">    Gross Free Cashflow</t>
  </si>
  <si>
    <t xml:space="preserve">    (Increase) in Working Capital</t>
  </si>
  <si>
    <t xml:space="preserve">    Net Free Cashflow</t>
  </si>
  <si>
    <t>Change in Cash</t>
  </si>
  <si>
    <t>Net Earnings</t>
  </si>
  <si>
    <t>2017</t>
  </si>
  <si>
    <t>($millions)</t>
  </si>
  <si>
    <t xml:space="preserve">  Cashflow From Operations as Reported</t>
  </si>
  <si>
    <t xml:space="preserve">  Less: Preferred Dividends</t>
  </si>
  <si>
    <t xml:space="preserve">    Adjusted Cashflow</t>
  </si>
  <si>
    <t xml:space="preserve">  Less: Non-cash working capital</t>
  </si>
  <si>
    <t xml:space="preserve">  CFO Pre-Working Capital</t>
  </si>
  <si>
    <t xml:space="preserve">  Finance Charges</t>
  </si>
  <si>
    <t xml:space="preserve">  Interest Adjustment For Pension Liability</t>
  </si>
  <si>
    <t xml:space="preserve">  Preferred Dividends</t>
  </si>
  <si>
    <t xml:space="preserve">  Total Debt</t>
  </si>
  <si>
    <t xml:space="preserve">  Unamortized Debt Costs</t>
  </si>
  <si>
    <t xml:space="preserve">  Preference Shares</t>
  </si>
  <si>
    <t xml:space="preserve">  CFO Pre-Working Capital/ Debt</t>
  </si>
  <si>
    <t>Newfoundland Power Inc.</t>
  </si>
  <si>
    <t xml:space="preserve">    Adjusted Interest Costs</t>
  </si>
  <si>
    <t xml:space="preserve">    CFO Pre-Working Capital</t>
  </si>
  <si>
    <t xml:space="preserve">  CFO Interest Coverage</t>
  </si>
  <si>
    <t xml:space="preserve">  Pension Adjustment</t>
  </si>
  <si>
    <t xml:space="preserve">  Common Equity</t>
  </si>
  <si>
    <t xml:space="preserve">  Total Capital</t>
  </si>
  <si>
    <t xml:space="preserve">  Debt to Capital</t>
  </si>
  <si>
    <t xml:space="preserve">    Adjusted Year End Debt</t>
  </si>
  <si>
    <t xml:space="preserve">  EBITDA</t>
  </si>
  <si>
    <t xml:space="preserve">  EBITDA Interest Coverage</t>
  </si>
  <si>
    <t xml:space="preserve">  Adjusted Debt Costs</t>
  </si>
  <si>
    <t>Debt to Capital Ratio</t>
  </si>
  <si>
    <t>CFO to Debt</t>
  </si>
  <si>
    <t>EBITDA Interest Coverage (times)</t>
  </si>
  <si>
    <t>CFO Interest Coverage (times)</t>
  </si>
  <si>
    <t>Debt to EBITDA (times)</t>
  </si>
  <si>
    <t xml:space="preserve">2017 Actual Cashflow Metrics </t>
  </si>
  <si>
    <t xml:space="preserve">  Deferred Income Taxes (Non-current)</t>
  </si>
  <si>
    <r>
      <t>Pretax Interest Coverage</t>
    </r>
    <r>
      <rPr>
        <b/>
        <vertAlign val="superscript"/>
        <sz val="11"/>
        <rFont val="Calibri"/>
        <family val="2"/>
      </rPr>
      <t>1</t>
    </r>
  </si>
  <si>
    <r>
      <t>CFO Interest Coverage</t>
    </r>
    <r>
      <rPr>
        <b/>
        <vertAlign val="superscript"/>
        <sz val="11"/>
        <rFont val="Calibri"/>
        <family val="2"/>
      </rPr>
      <t>2</t>
    </r>
  </si>
  <si>
    <r>
      <t>CFO To  Debt</t>
    </r>
    <r>
      <rPr>
        <b/>
        <vertAlign val="superscript"/>
        <sz val="11"/>
        <rFont val="Calibri"/>
        <family val="2"/>
      </rPr>
      <t>2</t>
    </r>
  </si>
  <si>
    <r>
      <t>Debt to Capital</t>
    </r>
    <r>
      <rPr>
        <b/>
        <vertAlign val="superscript"/>
        <sz val="11"/>
        <rFont val="Calibri"/>
        <family val="2"/>
      </rPr>
      <t>2</t>
    </r>
  </si>
  <si>
    <r>
      <t>EBITDA Interest Coverage</t>
    </r>
    <r>
      <rPr>
        <b/>
        <vertAlign val="superscript"/>
        <sz val="11"/>
        <rFont val="Calibri"/>
        <family val="2"/>
      </rPr>
      <t>3</t>
    </r>
  </si>
  <si>
    <r>
      <t>Debt to EBITDA</t>
    </r>
    <r>
      <rPr>
        <b/>
        <vertAlign val="superscript"/>
        <sz val="11"/>
        <rFont val="Calibri"/>
        <family val="2"/>
      </rPr>
      <t>3</t>
    </r>
  </si>
  <si>
    <t>Notes:</t>
  </si>
  <si>
    <t>Pre-tax Income</t>
  </si>
  <si>
    <t xml:space="preserve">Interest on Long Term Debt </t>
  </si>
  <si>
    <t xml:space="preserve">Other Interest </t>
  </si>
  <si>
    <t>Capitalized Interest</t>
  </si>
  <si>
    <t>Amortization of Debt Issue Expenses</t>
  </si>
  <si>
    <t xml:space="preserve">  Numerator</t>
  </si>
  <si>
    <t>Amortization of Debt Discount &amp; Expense</t>
  </si>
  <si>
    <t xml:space="preserve">  Denominator</t>
  </si>
  <si>
    <t>Pre-tax Interest Coverage Ratio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</si>
  <si>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  <scheme val="minor"/>
      </rPr>
      <t xml:space="preserve"> Based on historical Standard and Poors methodology. This methodolgy has been referenced by the PUB in prior Board Orders associated with general rate applications (See P.U. 16(1998-99), page 41 and P.U. 19(2003), page 54). In addition, it is the interest coverage calculation used by the Boards Financial Consulatant's for their annual reviews of Newfoundland Power.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</si>
  <si>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  <scheme val="minor"/>
      </rPr>
      <t xml:space="preserve"> Based on Moody's methodology.</t>
    </r>
  </si>
  <si>
    <t>Calculation of Cashflow Metrics - 2017 Actual</t>
  </si>
  <si>
    <t xml:space="preserve">  Debt to EBITDA</t>
  </si>
  <si>
    <t xml:space="preserve">  Interest Costs</t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</si>
  <si>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  <scheme val="minor"/>
      </rPr>
      <t xml:space="preserve"> Interest costs and Adjusted Debt costs are based on calculations using Moody's methodology. EBITDA has been calculated by Newfoundland Power based on 2017 acutal results.</t>
    </r>
  </si>
  <si>
    <t>CA-NP-134</t>
  </si>
  <si>
    <t>Income Statement</t>
  </si>
  <si>
    <t>Balance Sheet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</si>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</sst>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"/>
    <numFmt numFmtId="165" formatCode="#,##0.0"/>
    <numFmt numFmtId="166" formatCode="0.0_);\(0.0\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0.000"/>
    <numFmt numFmtId="172" formatCode="0.000_);\(0.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2147"/>
      <name val="Calibri"/>
      <family val="2"/>
      <scheme val="minor"/>
    </font>
    <font>
      <b/>
      <sz val="14"/>
      <color rgb="FF002147"/>
      <name val="Calibri"/>
      <family val="2"/>
      <scheme val="minor"/>
    </font>
    <font>
      <b/>
      <u/>
      <sz val="14"/>
      <color rgb="FF002147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color theme="1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164" fontId="2" fillId="0" borderId="0" xfId="1" applyNumberFormat="1" applyFont="1" applyFill="1" applyBorder="1"/>
    <xf numFmtId="164" fontId="3" fillId="0" borderId="0" xfId="0" applyNumberFormat="1" applyFont="1" applyFill="1" applyBorder="1"/>
    <xf numFmtId="164" fontId="3" fillId="0" borderId="0" xfId="1" applyNumberFormat="1" applyFont="1" applyFill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1" applyNumberFormat="1" applyFont="1" applyBorder="1"/>
    <xf numFmtId="0" fontId="0" fillId="0" borderId="0" xfId="0" applyBorder="1"/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/>
    <xf numFmtId="164" fontId="2" fillId="0" borderId="0" xfId="1" applyNumberFormat="1" applyFont="1" applyBorder="1"/>
    <xf numFmtId="165" fontId="3" fillId="0" borderId="0" xfId="1" applyNumberFormat="1" applyFont="1" applyBorder="1"/>
    <xf numFmtId="164" fontId="3" fillId="0" borderId="0" xfId="1" applyNumberFormat="1" applyFont="1" applyBorder="1"/>
    <xf numFmtId="166" fontId="2" fillId="0" borderId="0" xfId="0" applyNumberFormat="1" applyFont="1" applyBorder="1"/>
    <xf numFmtId="0" fontId="3" fillId="0" borderId="0" xfId="0" applyFont="1" applyFill="1"/>
    <xf numFmtId="0" fontId="3" fillId="0" borderId="0" xfId="0" applyFont="1" applyAlignment="1">
      <alignment horizontal="left"/>
    </xf>
    <xf numFmtId="166" fontId="3" fillId="0" borderId="0" xfId="1" applyNumberFormat="1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7" fontId="8" fillId="0" borderId="0" xfId="1" applyNumberFormat="1" applyFont="1"/>
    <xf numFmtId="168" fontId="10" fillId="0" borderId="6" xfId="2" applyNumberFormat="1" applyFont="1" applyBorder="1"/>
    <xf numFmtId="0" fontId="12" fillId="0" borderId="0" xfId="0" applyFont="1"/>
    <xf numFmtId="0" fontId="8" fillId="0" borderId="0" xfId="0" applyFont="1" applyBorder="1" applyAlignment="1">
      <alignment horizontal="center"/>
    </xf>
    <xf numFmtId="169" fontId="8" fillId="0" borderId="0" xfId="1" applyNumberFormat="1" applyFont="1"/>
    <xf numFmtId="169" fontId="8" fillId="0" borderId="1" xfId="1" applyNumberFormat="1" applyFont="1" applyFill="1" applyBorder="1"/>
    <xf numFmtId="169" fontId="8" fillId="0" borderId="0" xfId="1" applyNumberFormat="1" applyFont="1" applyFill="1" applyBorder="1"/>
    <xf numFmtId="169" fontId="11" fillId="0" borderId="0" xfId="1" applyNumberFormat="1" applyFont="1"/>
    <xf numFmtId="169" fontId="10" fillId="0" borderId="6" xfId="1" applyNumberFormat="1" applyFont="1" applyBorder="1"/>
    <xf numFmtId="168" fontId="0" fillId="0" borderId="0" xfId="2" applyNumberFormat="1" applyFont="1"/>
    <xf numFmtId="0" fontId="6" fillId="0" borderId="0" xfId="0" quotePrefix="1" applyFont="1"/>
    <xf numFmtId="167" fontId="8" fillId="0" borderId="0" xfId="1" applyNumberFormat="1" applyFont="1" applyFill="1" applyBorder="1"/>
    <xf numFmtId="167" fontId="8" fillId="0" borderId="1" xfId="1" applyNumberFormat="1" applyFont="1" applyFill="1" applyBorder="1"/>
    <xf numFmtId="167" fontId="11" fillId="0" borderId="0" xfId="1" applyNumberFormat="1" applyFont="1"/>
    <xf numFmtId="169" fontId="8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3" fontId="0" fillId="0" borderId="0" xfId="1" applyNumberFormat="1" applyFont="1"/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2" fillId="0" borderId="0" xfId="1" applyNumberFormat="1" applyFont="1" applyFill="1"/>
    <xf numFmtId="170" fontId="2" fillId="0" borderId="1" xfId="1" applyNumberFormat="1" applyFont="1" applyFill="1" applyBorder="1"/>
    <xf numFmtId="170" fontId="3" fillId="0" borderId="0" xfId="0" applyNumberFormat="1" applyFont="1" applyFill="1"/>
    <xf numFmtId="170" fontId="3" fillId="0" borderId="0" xfId="1" applyNumberFormat="1" applyFont="1" applyFill="1"/>
    <xf numFmtId="170" fontId="2" fillId="0" borderId="0" xfId="1" applyNumberFormat="1" applyFont="1" applyFill="1" applyBorder="1"/>
    <xf numFmtId="170" fontId="3" fillId="0" borderId="0" xfId="1" applyNumberFormat="1" applyFont="1" applyFill="1" applyBorder="1"/>
    <xf numFmtId="170" fontId="3" fillId="0" borderId="2" xfId="1" applyNumberFormat="1" applyFont="1" applyFill="1" applyBorder="1"/>
    <xf numFmtId="170" fontId="2" fillId="0" borderId="0" xfId="1" applyNumberFormat="1" applyFont="1" applyBorder="1"/>
    <xf numFmtId="170" fontId="3" fillId="0" borderId="3" xfId="1" applyNumberFormat="1" applyFont="1" applyBorder="1"/>
    <xf numFmtId="170" fontId="3" fillId="0" borderId="0" xfId="1" applyNumberFormat="1" applyFont="1" applyBorder="1"/>
    <xf numFmtId="170" fontId="2" fillId="0" borderId="4" xfId="1" applyNumberFormat="1" applyFont="1" applyBorder="1"/>
    <xf numFmtId="170" fontId="3" fillId="0" borderId="5" xfId="1" applyNumberFormat="1" applyFont="1" applyBorder="1"/>
    <xf numFmtId="172" fontId="2" fillId="0" borderId="0" xfId="1" applyNumberFormat="1" applyFont="1" applyBorder="1"/>
    <xf numFmtId="172" fontId="2" fillId="0" borderId="1" xfId="1" applyNumberFormat="1" applyFont="1" applyBorder="1"/>
    <xf numFmtId="172" fontId="3" fillId="0" borderId="0" xfId="1" applyNumberFormat="1" applyFont="1" applyBorder="1"/>
    <xf numFmtId="172" fontId="2" fillId="0" borderId="4" xfId="0" applyNumberFormat="1" applyFont="1" applyBorder="1"/>
    <xf numFmtId="172" fontId="3" fillId="0" borderId="3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Layout" zoomScaleNormal="100" workbookViewId="0">
      <selection activeCell="C14" sqref="C14"/>
    </sheetView>
  </sheetViews>
  <sheetFormatPr defaultRowHeight="14.4" x14ac:dyDescent="0.3"/>
  <cols>
    <col min="1" max="1" width="31.33203125" customWidth="1"/>
  </cols>
  <sheetData>
    <row r="1" spans="1:5" x14ac:dyDescent="0.3">
      <c r="A1" s="52" t="s">
        <v>93</v>
      </c>
      <c r="B1" s="52"/>
      <c r="C1" s="48"/>
    </row>
    <row r="2" spans="1:5" ht="15.6" x14ac:dyDescent="0.3">
      <c r="A2" s="50" t="s">
        <v>52</v>
      </c>
      <c r="B2" s="50"/>
      <c r="C2" s="47"/>
      <c r="D2" s="47"/>
      <c r="E2" s="47"/>
    </row>
    <row r="3" spans="1:5" ht="15.6" x14ac:dyDescent="0.3">
      <c r="A3" s="51" t="s">
        <v>69</v>
      </c>
      <c r="B3" s="51"/>
      <c r="C3" s="46"/>
      <c r="D3" s="46"/>
      <c r="E3" s="46"/>
    </row>
    <row r="5" spans="1:5" x14ac:dyDescent="0.3">
      <c r="A5" t="s">
        <v>64</v>
      </c>
      <c r="B5" s="38">
        <f>Calcs!C60</f>
        <v>0.4879361011420027</v>
      </c>
    </row>
    <row r="6" spans="1:5" x14ac:dyDescent="0.3">
      <c r="A6" t="s">
        <v>66</v>
      </c>
      <c r="B6" s="49">
        <f>Calcs!$C$67</f>
        <v>4.6687010313841775</v>
      </c>
    </row>
    <row r="7" spans="1:5" x14ac:dyDescent="0.3">
      <c r="A7" t="s">
        <v>67</v>
      </c>
      <c r="B7" s="49">
        <f>Calcs!$C$33</f>
        <v>4.0309913239785757</v>
      </c>
    </row>
    <row r="8" spans="1:5" x14ac:dyDescent="0.3">
      <c r="A8" t="s">
        <v>65</v>
      </c>
      <c r="B8" s="38">
        <f>Calcs!C45</f>
        <v>0.1780415864271262</v>
      </c>
    </row>
    <row r="9" spans="1:5" x14ac:dyDescent="0.3">
      <c r="A9" t="s">
        <v>68</v>
      </c>
      <c r="B9" s="49">
        <f>Calcs!C74</f>
        <v>3.6464240635722054</v>
      </c>
    </row>
    <row r="12" spans="1:5" x14ac:dyDescent="0.3">
      <c r="A12" s="24"/>
      <c r="B12" s="24"/>
      <c r="C12" s="24"/>
      <c r="D12" s="24"/>
    </row>
    <row r="13" spans="1:5" x14ac:dyDescent="0.3">
      <c r="A13" s="24"/>
      <c r="B13" s="24"/>
      <c r="C13" s="24"/>
      <c r="D13" s="24"/>
    </row>
    <row r="14" spans="1:5" x14ac:dyDescent="0.3">
      <c r="A14" s="24"/>
      <c r="B14" s="24"/>
      <c r="C14" s="24"/>
      <c r="D14" s="24"/>
    </row>
    <row r="15" spans="1:5" x14ac:dyDescent="0.3">
      <c r="A15" s="24"/>
      <c r="B15" s="24"/>
      <c r="C15" s="24"/>
      <c r="D15" s="24"/>
    </row>
    <row r="16" spans="1:5" x14ac:dyDescent="0.3">
      <c r="A16" s="24"/>
      <c r="B16" s="24"/>
      <c r="C16" s="24"/>
      <c r="D16" s="24"/>
    </row>
  </sheetData>
  <mergeCells count="3">
    <mergeCell ref="A2:B2"/>
    <mergeCell ref="A3:B3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topLeftCell="A19" zoomScaleNormal="100" workbookViewId="0">
      <selection activeCell="C33" sqref="C33"/>
    </sheetView>
  </sheetViews>
  <sheetFormatPr defaultRowHeight="14.4" x14ac:dyDescent="0.3"/>
  <cols>
    <col min="1" max="1" width="40.6640625" bestFit="1" customWidth="1"/>
    <col min="3" max="3" width="11" bestFit="1" customWidth="1"/>
  </cols>
  <sheetData>
    <row r="1" spans="1:6" x14ac:dyDescent="0.3">
      <c r="A1" s="52" t="s">
        <v>93</v>
      </c>
      <c r="B1" s="52"/>
      <c r="C1" s="52"/>
    </row>
    <row r="2" spans="1:6" x14ac:dyDescent="0.3">
      <c r="A2" s="55" t="s">
        <v>52</v>
      </c>
      <c r="B2" s="55"/>
      <c r="C2" s="55"/>
      <c r="D2" s="12"/>
      <c r="E2" s="12"/>
      <c r="F2" s="12"/>
    </row>
    <row r="3" spans="1:6" x14ac:dyDescent="0.3">
      <c r="A3" s="55" t="s">
        <v>89</v>
      </c>
      <c r="B3" s="55"/>
      <c r="C3" s="55"/>
      <c r="D3" s="12"/>
      <c r="E3" s="12"/>
      <c r="F3" s="12"/>
    </row>
    <row r="4" spans="1:6" x14ac:dyDescent="0.3">
      <c r="A4" s="56" t="s">
        <v>39</v>
      </c>
      <c r="B4" s="56"/>
      <c r="C4" s="56"/>
    </row>
    <row r="5" spans="1:6" x14ac:dyDescent="0.3">
      <c r="A5" s="27"/>
      <c r="B5" s="26"/>
      <c r="C5" s="32"/>
    </row>
    <row r="6" spans="1:6" ht="16.2" x14ac:dyDescent="0.3">
      <c r="A6" s="25" t="s">
        <v>71</v>
      </c>
      <c r="B6" s="26"/>
      <c r="C6" s="29"/>
    </row>
    <row r="7" spans="1:6" x14ac:dyDescent="0.3">
      <c r="A7" s="26" t="s">
        <v>78</v>
      </c>
      <c r="B7" s="26"/>
      <c r="C7" s="29">
        <v>54408</v>
      </c>
    </row>
    <row r="8" spans="1:6" x14ac:dyDescent="0.3">
      <c r="A8" s="26" t="s">
        <v>79</v>
      </c>
      <c r="B8" s="26"/>
      <c r="C8" s="29">
        <v>35013</v>
      </c>
    </row>
    <row r="9" spans="1:6" x14ac:dyDescent="0.3">
      <c r="A9" s="26" t="s">
        <v>80</v>
      </c>
      <c r="B9" s="26"/>
      <c r="C9" s="40">
        <v>659</v>
      </c>
    </row>
    <row r="10" spans="1:6" x14ac:dyDescent="0.3">
      <c r="A10" s="26" t="s">
        <v>81</v>
      </c>
      <c r="B10" s="26"/>
      <c r="C10" s="40">
        <v>-1025</v>
      </c>
    </row>
    <row r="11" spans="1:6" x14ac:dyDescent="0.3">
      <c r="A11" s="26" t="s">
        <v>82</v>
      </c>
      <c r="B11" s="26"/>
      <c r="C11" s="41">
        <v>234</v>
      </c>
    </row>
    <row r="12" spans="1:6" x14ac:dyDescent="0.3">
      <c r="A12" s="26" t="s">
        <v>83</v>
      </c>
      <c r="B12" s="26"/>
      <c r="C12" s="29">
        <f>SUM(C7:C11)</f>
        <v>89289</v>
      </c>
    </row>
    <row r="13" spans="1:6" x14ac:dyDescent="0.3">
      <c r="A13" s="26"/>
      <c r="B13" s="26"/>
      <c r="C13" s="33"/>
    </row>
    <row r="14" spans="1:6" x14ac:dyDescent="0.3">
      <c r="A14" s="26" t="s">
        <v>79</v>
      </c>
      <c r="B14" s="26"/>
      <c r="C14" s="29">
        <f>C8</f>
        <v>35013</v>
      </c>
    </row>
    <row r="15" spans="1:6" x14ac:dyDescent="0.3">
      <c r="A15" s="26" t="s">
        <v>80</v>
      </c>
      <c r="B15" s="26"/>
      <c r="C15" s="29">
        <f>C9</f>
        <v>659</v>
      </c>
    </row>
    <row r="16" spans="1:6" ht="16.2" x14ac:dyDescent="0.45">
      <c r="A16" s="26" t="s">
        <v>84</v>
      </c>
      <c r="B16" s="26"/>
      <c r="C16" s="42">
        <f>C11</f>
        <v>234</v>
      </c>
    </row>
    <row r="17" spans="1:3" x14ac:dyDescent="0.3">
      <c r="A17" s="26" t="s">
        <v>85</v>
      </c>
      <c r="B17" s="26"/>
      <c r="C17" s="29">
        <f>SUM(C14:C16)</f>
        <v>35906</v>
      </c>
    </row>
    <row r="18" spans="1:3" x14ac:dyDescent="0.3">
      <c r="A18" s="26"/>
      <c r="B18" s="26"/>
      <c r="C18" s="29"/>
    </row>
    <row r="19" spans="1:3" ht="15" thickBot="1" x14ac:dyDescent="0.35">
      <c r="A19" s="28" t="s">
        <v>86</v>
      </c>
      <c r="B19" s="28"/>
      <c r="C19" s="37">
        <f>C12/C17</f>
        <v>2.4867431627026124</v>
      </c>
    </row>
    <row r="20" spans="1:3" x14ac:dyDescent="0.3">
      <c r="A20" s="27"/>
      <c r="B20" s="26"/>
      <c r="C20" s="32"/>
    </row>
    <row r="21" spans="1:3" ht="16.2" x14ac:dyDescent="0.3">
      <c r="A21" s="25" t="s">
        <v>72</v>
      </c>
      <c r="B21" s="26"/>
      <c r="C21" s="29"/>
    </row>
    <row r="22" spans="1:3" x14ac:dyDescent="0.3">
      <c r="A22" s="26" t="s">
        <v>40</v>
      </c>
      <c r="B22" s="26"/>
      <c r="C22" s="33">
        <v>109.968</v>
      </c>
    </row>
    <row r="23" spans="1:3" x14ac:dyDescent="0.3">
      <c r="A23" s="26" t="s">
        <v>41</v>
      </c>
      <c r="B23" s="26"/>
      <c r="C23" s="43">
        <v>-0.55500000000000005</v>
      </c>
    </row>
    <row r="24" spans="1:3" x14ac:dyDescent="0.3">
      <c r="A24" s="26" t="s">
        <v>42</v>
      </c>
      <c r="B24" s="26"/>
      <c r="C24" s="35">
        <f>SUM(C22:C23)</f>
        <v>109.413</v>
      </c>
    </row>
    <row r="25" spans="1:3" x14ac:dyDescent="0.3">
      <c r="A25" s="26" t="s">
        <v>43</v>
      </c>
      <c r="B25" s="26"/>
      <c r="C25" s="34">
        <v>0.14399999999999999</v>
      </c>
    </row>
    <row r="26" spans="1:3" x14ac:dyDescent="0.3">
      <c r="A26" s="26" t="s">
        <v>54</v>
      </c>
      <c r="B26" s="26"/>
      <c r="C26" s="33">
        <f>SUM(C24:C25)</f>
        <v>109.557</v>
      </c>
    </row>
    <row r="27" spans="1:3" x14ac:dyDescent="0.3">
      <c r="A27" s="26"/>
      <c r="B27" s="26"/>
      <c r="C27" s="33"/>
    </row>
    <row r="28" spans="1:3" x14ac:dyDescent="0.3">
      <c r="A28" s="26" t="s">
        <v>45</v>
      </c>
      <c r="B28" s="26"/>
      <c r="C28" s="33">
        <v>35.365000000000002</v>
      </c>
    </row>
    <row r="29" spans="1:3" x14ac:dyDescent="0.3">
      <c r="A29" s="26" t="s">
        <v>46</v>
      </c>
      <c r="B29" s="26"/>
      <c r="C29" s="33">
        <v>0.22559999999999999</v>
      </c>
    </row>
    <row r="30" spans="1:3" ht="16.2" x14ac:dyDescent="0.45">
      <c r="A30" s="26" t="s">
        <v>47</v>
      </c>
      <c r="B30" s="26"/>
      <c r="C30" s="36">
        <v>0.55500000000000005</v>
      </c>
    </row>
    <row r="31" spans="1:3" x14ac:dyDescent="0.3">
      <c r="A31" s="26" t="s">
        <v>53</v>
      </c>
      <c r="B31" s="26"/>
      <c r="C31" s="33">
        <f>SUM(C28:C30)</f>
        <v>36.145600000000002</v>
      </c>
    </row>
    <row r="32" spans="1:3" x14ac:dyDescent="0.3">
      <c r="A32" s="26"/>
      <c r="B32" s="26"/>
      <c r="C32" s="29"/>
    </row>
    <row r="33" spans="1:3" ht="15" thickBot="1" x14ac:dyDescent="0.35">
      <c r="A33" s="28" t="s">
        <v>55</v>
      </c>
      <c r="B33" s="28"/>
      <c r="C33" s="37">
        <f>(C26+C31)/C31</f>
        <v>4.0309913239785757</v>
      </c>
    </row>
    <row r="34" spans="1:3" x14ac:dyDescent="0.3">
      <c r="A34" s="26"/>
      <c r="B34" s="26"/>
      <c r="C34" s="29"/>
    </row>
    <row r="35" spans="1:3" x14ac:dyDescent="0.3">
      <c r="A35" s="26"/>
      <c r="B35" s="26"/>
      <c r="C35" s="29"/>
    </row>
    <row r="36" spans="1:3" ht="16.2" x14ac:dyDescent="0.3">
      <c r="A36" s="25" t="s">
        <v>73</v>
      </c>
      <c r="B36" s="26"/>
      <c r="C36" s="29"/>
    </row>
    <row r="37" spans="1:3" x14ac:dyDescent="0.3">
      <c r="A37" s="26" t="s">
        <v>44</v>
      </c>
      <c r="B37" s="26"/>
      <c r="C37" s="33">
        <f>C26</f>
        <v>109.557</v>
      </c>
    </row>
    <row r="38" spans="1:3" x14ac:dyDescent="0.3">
      <c r="A38" s="26"/>
      <c r="B38" s="26"/>
      <c r="C38" s="33"/>
    </row>
    <row r="39" spans="1:3" x14ac:dyDescent="0.3">
      <c r="A39" s="26" t="s">
        <v>48</v>
      </c>
      <c r="B39" s="26"/>
      <c r="C39" s="33">
        <f>575.163+18.6+3.575</f>
        <v>597.33800000000008</v>
      </c>
    </row>
    <row r="40" spans="1:3" x14ac:dyDescent="0.3">
      <c r="A40" s="26" t="s">
        <v>49</v>
      </c>
      <c r="B40" s="26"/>
      <c r="C40" s="33">
        <v>2.7719999999999998</v>
      </c>
    </row>
    <row r="41" spans="1:3" x14ac:dyDescent="0.3">
      <c r="A41" s="26" t="s">
        <v>56</v>
      </c>
      <c r="B41" s="26"/>
      <c r="C41" s="33">
        <v>6.3179999999999996</v>
      </c>
    </row>
    <row r="42" spans="1:3" ht="16.2" x14ac:dyDescent="0.45">
      <c r="A42" s="26" t="s">
        <v>50</v>
      </c>
      <c r="B42" s="26"/>
      <c r="C42" s="36">
        <v>8.9169999999999998</v>
      </c>
    </row>
    <row r="43" spans="1:3" x14ac:dyDescent="0.3">
      <c r="A43" s="26" t="s">
        <v>60</v>
      </c>
      <c r="B43" s="26"/>
      <c r="C43" s="33">
        <f>SUM(C39:C42)</f>
        <v>615.34500000000014</v>
      </c>
    </row>
    <row r="44" spans="1:3" x14ac:dyDescent="0.3">
      <c r="A44" s="26"/>
      <c r="B44" s="26"/>
      <c r="C44" s="29"/>
    </row>
    <row r="45" spans="1:3" ht="15" thickBot="1" x14ac:dyDescent="0.35">
      <c r="A45" s="28" t="s">
        <v>51</v>
      </c>
      <c r="B45" s="26"/>
      <c r="C45" s="30">
        <f>C37/$C$43</f>
        <v>0.1780415864271262</v>
      </c>
    </row>
    <row r="46" spans="1:3" x14ac:dyDescent="0.3">
      <c r="A46" s="26"/>
      <c r="B46" s="26"/>
      <c r="C46" s="29"/>
    </row>
    <row r="47" spans="1:3" x14ac:dyDescent="0.3">
      <c r="C47" s="31"/>
    </row>
    <row r="48" spans="1:3" ht="16.2" x14ac:dyDescent="0.3">
      <c r="A48" s="25" t="s">
        <v>74</v>
      </c>
      <c r="B48" s="26"/>
      <c r="C48" s="29"/>
    </row>
    <row r="49" spans="1:3" x14ac:dyDescent="0.3">
      <c r="A49" s="26" t="s">
        <v>48</v>
      </c>
      <c r="B49" s="26"/>
      <c r="C49" s="33">
        <f>575.163+18.6+3.575</f>
        <v>597.33800000000008</v>
      </c>
    </row>
    <row r="50" spans="1:3" x14ac:dyDescent="0.3">
      <c r="A50" s="26" t="s">
        <v>49</v>
      </c>
      <c r="B50" s="26"/>
      <c r="C50" s="33">
        <v>2.7719999999999998</v>
      </c>
    </row>
    <row r="51" spans="1:3" x14ac:dyDescent="0.3">
      <c r="A51" s="26" t="s">
        <v>56</v>
      </c>
      <c r="B51" s="26"/>
      <c r="C51" s="33">
        <v>6.3179999999999996</v>
      </c>
    </row>
    <row r="52" spans="1:3" ht="16.2" x14ac:dyDescent="0.45">
      <c r="A52" s="26" t="s">
        <v>50</v>
      </c>
      <c r="B52" s="26"/>
      <c r="C52" s="36">
        <v>8.9169999999999998</v>
      </c>
    </row>
    <row r="53" spans="1:3" x14ac:dyDescent="0.3">
      <c r="A53" s="26" t="s">
        <v>60</v>
      </c>
      <c r="B53" s="26"/>
      <c r="C53" s="33">
        <f>SUM(C49:C52)</f>
        <v>615.34500000000014</v>
      </c>
    </row>
    <row r="54" spans="1:3" x14ac:dyDescent="0.3">
      <c r="A54" s="26"/>
      <c r="B54" s="26"/>
      <c r="C54" s="33"/>
    </row>
    <row r="55" spans="1:3" x14ac:dyDescent="0.3">
      <c r="A55" s="26" t="s">
        <v>57</v>
      </c>
      <c r="B55" s="26"/>
      <c r="C55" s="33">
        <f>70.321+417.517</f>
        <v>487.83799999999997</v>
      </c>
    </row>
    <row r="56" spans="1:3" x14ac:dyDescent="0.3">
      <c r="A56" s="26" t="s">
        <v>70</v>
      </c>
      <c r="B56" s="26"/>
      <c r="C56" s="33">
        <v>157.935</v>
      </c>
    </row>
    <row r="57" spans="1:3" x14ac:dyDescent="0.3">
      <c r="A57" s="26"/>
      <c r="B57" s="26"/>
      <c r="C57" s="29"/>
    </row>
    <row r="58" spans="1:3" x14ac:dyDescent="0.3">
      <c r="A58" s="26" t="s">
        <v>58</v>
      </c>
      <c r="B58" s="26"/>
      <c r="C58" s="29">
        <f>C53+C55+C56</f>
        <v>1261.1179999999999</v>
      </c>
    </row>
    <row r="59" spans="1:3" x14ac:dyDescent="0.3">
      <c r="A59" s="26"/>
      <c r="B59" s="26"/>
      <c r="C59" s="29"/>
    </row>
    <row r="60" spans="1:3" ht="15" thickBot="1" x14ac:dyDescent="0.35">
      <c r="A60" s="28" t="s">
        <v>59</v>
      </c>
      <c r="B60" s="26"/>
      <c r="C60" s="30">
        <f>C53/C58</f>
        <v>0.4879361011420027</v>
      </c>
    </row>
    <row r="61" spans="1:3" x14ac:dyDescent="0.3">
      <c r="C61" s="31"/>
    </row>
    <row r="62" spans="1:3" x14ac:dyDescent="0.3">
      <c r="C62" s="31"/>
    </row>
    <row r="63" spans="1:3" ht="16.2" x14ac:dyDescent="0.3">
      <c r="A63" s="25" t="s">
        <v>75</v>
      </c>
      <c r="B63" s="26"/>
      <c r="C63" s="29"/>
    </row>
    <row r="64" spans="1:3" x14ac:dyDescent="0.3">
      <c r="A64" s="26" t="s">
        <v>61</v>
      </c>
      <c r="B64" s="26"/>
      <c r="C64" s="33">
        <f>IS!C8</f>
        <v>168.75299999999993</v>
      </c>
    </row>
    <row r="65" spans="1:3" x14ac:dyDescent="0.3">
      <c r="A65" s="26" t="s">
        <v>91</v>
      </c>
      <c r="B65" s="26"/>
      <c r="C65" s="33">
        <f>C31</f>
        <v>36.145600000000002</v>
      </c>
    </row>
    <row r="66" spans="1:3" x14ac:dyDescent="0.3">
      <c r="C66" s="31"/>
    </row>
    <row r="67" spans="1:3" ht="15" thickBot="1" x14ac:dyDescent="0.35">
      <c r="A67" s="28" t="s">
        <v>62</v>
      </c>
      <c r="B67" s="26"/>
      <c r="C67" s="37">
        <f>C64/C65</f>
        <v>4.6687010313841775</v>
      </c>
    </row>
    <row r="68" spans="1:3" x14ac:dyDescent="0.3">
      <c r="C68" s="31"/>
    </row>
    <row r="69" spans="1:3" x14ac:dyDescent="0.3">
      <c r="C69" s="31"/>
    </row>
    <row r="70" spans="1:3" ht="16.2" x14ac:dyDescent="0.3">
      <c r="A70" s="25" t="s">
        <v>76</v>
      </c>
      <c r="B70" s="26"/>
      <c r="C70" s="29"/>
    </row>
    <row r="71" spans="1:3" x14ac:dyDescent="0.3">
      <c r="A71" s="26" t="s">
        <v>63</v>
      </c>
      <c r="B71" s="26"/>
      <c r="C71" s="33">
        <f>C53</f>
        <v>615.34500000000014</v>
      </c>
    </row>
    <row r="72" spans="1:3" x14ac:dyDescent="0.3">
      <c r="A72" s="26" t="s">
        <v>61</v>
      </c>
      <c r="B72" s="26"/>
      <c r="C72" s="33">
        <f>IS!$C$8</f>
        <v>168.75299999999993</v>
      </c>
    </row>
    <row r="73" spans="1:3" x14ac:dyDescent="0.3">
      <c r="C73" s="31"/>
    </row>
    <row r="74" spans="1:3" ht="15" thickBot="1" x14ac:dyDescent="0.35">
      <c r="A74" s="28" t="s">
        <v>90</v>
      </c>
      <c r="B74" s="26"/>
      <c r="C74" s="37">
        <f>C71/C72</f>
        <v>3.6464240635722054</v>
      </c>
    </row>
    <row r="75" spans="1:3" x14ac:dyDescent="0.3">
      <c r="C75" s="31"/>
    </row>
    <row r="76" spans="1:3" x14ac:dyDescent="0.3">
      <c r="A76" s="24" t="s">
        <v>77</v>
      </c>
      <c r="B76" s="24"/>
      <c r="C76" s="26"/>
    </row>
    <row r="77" spans="1:3" ht="69.75" customHeight="1" x14ac:dyDescent="0.3">
      <c r="A77" s="53" t="s">
        <v>87</v>
      </c>
      <c r="B77" s="54"/>
      <c r="C77" s="54"/>
    </row>
    <row r="78" spans="1:3" ht="15" x14ac:dyDescent="0.3">
      <c r="A78" s="39" t="s">
        <v>88</v>
      </c>
      <c r="B78" s="24"/>
      <c r="C78" s="26"/>
    </row>
    <row r="79" spans="1:3" ht="43.5" customHeight="1" x14ac:dyDescent="0.3">
      <c r="A79" s="53" t="s">
        <v>92</v>
      </c>
      <c r="B79" s="54"/>
      <c r="C79" s="54"/>
    </row>
    <row r="80" spans="1:3" x14ac:dyDescent="0.3">
      <c r="A80" s="24"/>
      <c r="B80" s="24"/>
      <c r="C80" s="26"/>
    </row>
    <row r="81" spans="1:3" x14ac:dyDescent="0.3">
      <c r="A81" s="24"/>
      <c r="B81" s="24"/>
      <c r="C81" s="26"/>
    </row>
    <row r="82" spans="1:3" x14ac:dyDescent="0.3">
      <c r="A82" s="24"/>
      <c r="B82" s="24"/>
      <c r="C82" s="26"/>
    </row>
    <row r="83" spans="1:3" x14ac:dyDescent="0.3">
      <c r="A83" s="24"/>
      <c r="B83" s="24"/>
      <c r="C83" s="26"/>
    </row>
    <row r="84" spans="1:3" x14ac:dyDescent="0.3">
      <c r="A84" s="24"/>
      <c r="B84" s="24"/>
      <c r="C84" s="26"/>
    </row>
    <row r="85" spans="1:3" x14ac:dyDescent="0.3">
      <c r="A85" s="24"/>
      <c r="B85" s="24"/>
      <c r="C85" s="26"/>
    </row>
    <row r="86" spans="1:3" x14ac:dyDescent="0.3">
      <c r="A86" s="24"/>
      <c r="B86" s="24"/>
      <c r="C86" s="26"/>
    </row>
    <row r="87" spans="1:3" x14ac:dyDescent="0.3">
      <c r="C87" s="31"/>
    </row>
    <row r="88" spans="1:3" x14ac:dyDescent="0.3">
      <c r="C88" s="31"/>
    </row>
    <row r="89" spans="1:3" x14ac:dyDescent="0.3">
      <c r="C89" s="31"/>
    </row>
    <row r="90" spans="1:3" x14ac:dyDescent="0.3">
      <c r="C90" s="31"/>
    </row>
    <row r="91" spans="1:3" x14ac:dyDescent="0.3">
      <c r="C91" s="31"/>
    </row>
    <row r="92" spans="1:3" x14ac:dyDescent="0.3">
      <c r="C92" s="31"/>
    </row>
    <row r="93" spans="1:3" x14ac:dyDescent="0.3">
      <c r="C93" s="31"/>
    </row>
    <row r="94" spans="1:3" x14ac:dyDescent="0.3">
      <c r="C94" s="31"/>
    </row>
    <row r="95" spans="1:3" x14ac:dyDescent="0.3">
      <c r="C95" s="31"/>
    </row>
    <row r="96" spans="1:3" x14ac:dyDescent="0.3">
      <c r="C96" s="31"/>
    </row>
    <row r="97" spans="3:3" x14ac:dyDescent="0.3">
      <c r="C97" s="31"/>
    </row>
    <row r="98" spans="3:3" x14ac:dyDescent="0.3">
      <c r="C98" s="31"/>
    </row>
    <row r="99" spans="3:3" x14ac:dyDescent="0.3">
      <c r="C99" s="31"/>
    </row>
    <row r="100" spans="3:3" x14ac:dyDescent="0.3">
      <c r="C100" s="31"/>
    </row>
    <row r="101" spans="3:3" x14ac:dyDescent="0.3">
      <c r="C101" s="31"/>
    </row>
    <row r="102" spans="3:3" x14ac:dyDescent="0.3">
      <c r="C102" s="31"/>
    </row>
    <row r="103" spans="3:3" x14ac:dyDescent="0.3">
      <c r="C103" s="31"/>
    </row>
    <row r="104" spans="3:3" x14ac:dyDescent="0.3">
      <c r="C104" s="31"/>
    </row>
    <row r="105" spans="3:3" x14ac:dyDescent="0.3">
      <c r="C105" s="31"/>
    </row>
    <row r="106" spans="3:3" x14ac:dyDescent="0.3">
      <c r="C106" s="31"/>
    </row>
    <row r="107" spans="3:3" x14ac:dyDescent="0.3">
      <c r="C107" s="31"/>
    </row>
    <row r="108" spans="3:3" x14ac:dyDescent="0.3">
      <c r="C108" s="31"/>
    </row>
    <row r="109" spans="3:3" x14ac:dyDescent="0.3">
      <c r="C109" s="31"/>
    </row>
    <row r="110" spans="3:3" x14ac:dyDescent="0.3">
      <c r="C110" s="31"/>
    </row>
    <row r="111" spans="3:3" x14ac:dyDescent="0.3">
      <c r="C111" s="31"/>
    </row>
    <row r="112" spans="3:3" x14ac:dyDescent="0.3">
      <c r="C112" s="31"/>
    </row>
    <row r="113" spans="3:3" x14ac:dyDescent="0.3">
      <c r="C113" s="31"/>
    </row>
    <row r="114" spans="3:3" x14ac:dyDescent="0.3">
      <c r="C114" s="31"/>
    </row>
    <row r="115" spans="3:3" x14ac:dyDescent="0.3">
      <c r="C115" s="31"/>
    </row>
    <row r="116" spans="3:3" x14ac:dyDescent="0.3">
      <c r="C116" s="31"/>
    </row>
    <row r="117" spans="3:3" x14ac:dyDescent="0.3">
      <c r="C117" s="31"/>
    </row>
    <row r="118" spans="3:3" x14ac:dyDescent="0.3">
      <c r="C118" s="31"/>
    </row>
    <row r="119" spans="3:3" x14ac:dyDescent="0.3">
      <c r="C119" s="31"/>
    </row>
    <row r="120" spans="3:3" x14ac:dyDescent="0.3">
      <c r="C120" s="31"/>
    </row>
    <row r="121" spans="3:3" x14ac:dyDescent="0.3">
      <c r="C121" s="31"/>
    </row>
    <row r="122" spans="3:3" x14ac:dyDescent="0.3">
      <c r="C122" s="31"/>
    </row>
    <row r="123" spans="3:3" x14ac:dyDescent="0.3">
      <c r="C123" s="31"/>
    </row>
    <row r="124" spans="3:3" x14ac:dyDescent="0.3">
      <c r="C124" s="31"/>
    </row>
    <row r="125" spans="3:3" x14ac:dyDescent="0.3">
      <c r="C125" s="31"/>
    </row>
    <row r="126" spans="3:3" x14ac:dyDescent="0.3">
      <c r="C126" s="31"/>
    </row>
    <row r="127" spans="3:3" x14ac:dyDescent="0.3">
      <c r="C127" s="31"/>
    </row>
    <row r="128" spans="3:3" x14ac:dyDescent="0.3">
      <c r="C128" s="31"/>
    </row>
    <row r="129" spans="3:3" x14ac:dyDescent="0.3">
      <c r="C129" s="31"/>
    </row>
    <row r="130" spans="3:3" x14ac:dyDescent="0.3">
      <c r="C130" s="31"/>
    </row>
    <row r="131" spans="3:3" x14ac:dyDescent="0.3">
      <c r="C131" s="31"/>
    </row>
    <row r="132" spans="3:3" x14ac:dyDescent="0.3">
      <c r="C132" s="31"/>
    </row>
    <row r="133" spans="3:3" x14ac:dyDescent="0.3">
      <c r="C133" s="31"/>
    </row>
    <row r="134" spans="3:3" x14ac:dyDescent="0.3">
      <c r="C134" s="31"/>
    </row>
    <row r="135" spans="3:3" x14ac:dyDescent="0.3">
      <c r="C135" s="31"/>
    </row>
  </sheetData>
  <mergeCells count="6">
    <mergeCell ref="A79:C79"/>
    <mergeCell ref="A1:C1"/>
    <mergeCell ref="A2:C2"/>
    <mergeCell ref="A3:C3"/>
    <mergeCell ref="A4:C4"/>
    <mergeCell ref="A77:C77"/>
  </mergeCells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A4" sqref="A4"/>
    </sheetView>
  </sheetViews>
  <sheetFormatPr defaultRowHeight="14.4" x14ac:dyDescent="0.3"/>
  <cols>
    <col min="1" max="1" width="18.109375" customWidth="1"/>
    <col min="2" max="2" width="29.6640625" customWidth="1"/>
    <col min="3" max="3" width="10.77734375" customWidth="1"/>
    <col min="4" max="4" width="2.5546875" customWidth="1"/>
    <col min="10" max="10" width="13.109375" customWidth="1"/>
  </cols>
  <sheetData>
    <row r="1" spans="1:5" x14ac:dyDescent="0.3">
      <c r="A1" s="52" t="s">
        <v>93</v>
      </c>
      <c r="B1" s="52"/>
      <c r="C1" s="52"/>
    </row>
    <row r="2" spans="1:5" x14ac:dyDescent="0.3">
      <c r="A2" s="52" t="s">
        <v>94</v>
      </c>
      <c r="B2" s="52"/>
      <c r="C2" s="52"/>
    </row>
    <row r="4" spans="1:5" ht="18" x14ac:dyDescent="0.35">
      <c r="A4" s="20" t="s">
        <v>39</v>
      </c>
      <c r="C4" s="13"/>
    </row>
    <row r="5" spans="1:5" ht="18" x14ac:dyDescent="0.35">
      <c r="A5" s="1"/>
      <c r="B5" s="2"/>
      <c r="C5" s="45">
        <v>2017</v>
      </c>
    </row>
    <row r="6" spans="1:5" ht="18" x14ac:dyDescent="0.35">
      <c r="A6" s="4" t="s">
        <v>0</v>
      </c>
      <c r="B6" s="5"/>
      <c r="C6" s="57">
        <v>672.43499999999995</v>
      </c>
      <c r="E6" s="24" t="s">
        <v>21</v>
      </c>
    </row>
    <row r="7" spans="1:5" ht="18" x14ac:dyDescent="0.35">
      <c r="A7" s="1" t="s">
        <v>1</v>
      </c>
      <c r="B7" s="5"/>
      <c r="C7" s="58">
        <f>440.249+63.433</f>
        <v>503.68200000000002</v>
      </c>
      <c r="E7" s="24" t="s">
        <v>17</v>
      </c>
    </row>
    <row r="8" spans="1:5" ht="18" x14ac:dyDescent="0.35">
      <c r="A8" s="20" t="s">
        <v>2</v>
      </c>
      <c r="B8" s="6"/>
      <c r="C8" s="59">
        <f>C6-C7</f>
        <v>168.75299999999993</v>
      </c>
      <c r="E8" s="24"/>
    </row>
    <row r="9" spans="1:5" ht="18" x14ac:dyDescent="0.35">
      <c r="A9" s="1" t="s">
        <v>3</v>
      </c>
      <c r="B9" s="5"/>
      <c r="C9" s="58">
        <v>62.972999999999999</v>
      </c>
      <c r="E9" s="24" t="s">
        <v>18</v>
      </c>
    </row>
    <row r="10" spans="1:5" ht="18" x14ac:dyDescent="0.35">
      <c r="A10" s="20" t="s">
        <v>4</v>
      </c>
      <c r="B10" s="7"/>
      <c r="C10" s="60">
        <f>+C8-C9</f>
        <v>105.77999999999993</v>
      </c>
      <c r="E10" s="24"/>
    </row>
    <row r="11" spans="1:5" ht="18" x14ac:dyDescent="0.35">
      <c r="A11" s="1" t="s">
        <v>19</v>
      </c>
      <c r="B11" s="5"/>
      <c r="C11" s="57">
        <f>35.365-1.032+17.039</f>
        <v>51.372</v>
      </c>
      <c r="E11" s="24" t="s">
        <v>22</v>
      </c>
    </row>
    <row r="12" spans="1:5" ht="18" x14ac:dyDescent="0.35">
      <c r="A12" s="1" t="s">
        <v>20</v>
      </c>
      <c r="B12" s="5"/>
      <c r="C12" s="61">
        <f>12.882</f>
        <v>12.882</v>
      </c>
      <c r="E12" s="24"/>
    </row>
    <row r="13" spans="1:5" ht="18" x14ac:dyDescent="0.35">
      <c r="A13" s="20" t="s">
        <v>37</v>
      </c>
      <c r="B13" s="7"/>
      <c r="C13" s="62">
        <f>C10-C11-C12</f>
        <v>41.525999999999932</v>
      </c>
      <c r="E13" s="24"/>
    </row>
    <row r="14" spans="1:5" ht="18" x14ac:dyDescent="0.35">
      <c r="A14" s="1" t="s">
        <v>23</v>
      </c>
      <c r="B14" s="5"/>
      <c r="C14" s="58">
        <v>0.55500000000000005</v>
      </c>
      <c r="E14" s="24"/>
    </row>
    <row r="15" spans="1:5" ht="18" x14ac:dyDescent="0.35">
      <c r="A15" s="20" t="s">
        <v>5</v>
      </c>
      <c r="B15" s="7"/>
      <c r="C15" s="63">
        <f>C13-C14</f>
        <v>40.970999999999933</v>
      </c>
      <c r="E15" s="24"/>
    </row>
    <row r="16" spans="1:5" x14ac:dyDescent="0.3">
      <c r="E16" s="24"/>
    </row>
    <row r="17" spans="5:5" x14ac:dyDescent="0.3">
      <c r="E17" s="24"/>
    </row>
  </sheetData>
  <mergeCells count="2">
    <mergeCell ref="A2:C2"/>
    <mergeCell ref="A1:C1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3" sqref="A3"/>
    </sheetView>
  </sheetViews>
  <sheetFormatPr defaultRowHeight="14.4" x14ac:dyDescent="0.3"/>
  <cols>
    <col min="1" max="1" width="17.88671875" customWidth="1"/>
    <col min="2" max="2" width="28.5546875" customWidth="1"/>
    <col min="3" max="3" width="11.5546875" bestFit="1" customWidth="1"/>
  </cols>
  <sheetData>
    <row r="1" spans="1:4" x14ac:dyDescent="0.3">
      <c r="A1" s="52" t="s">
        <v>93</v>
      </c>
      <c r="B1" s="52"/>
      <c r="C1" s="52"/>
    </row>
    <row r="2" spans="1:4" x14ac:dyDescent="0.3">
      <c r="A2" s="52" t="s">
        <v>95</v>
      </c>
      <c r="B2" s="52"/>
      <c r="C2" s="52"/>
    </row>
    <row r="3" spans="1:4" ht="18" x14ac:dyDescent="0.35">
      <c r="A3" s="20" t="s">
        <v>39</v>
      </c>
    </row>
    <row r="4" spans="1:4" ht="18" x14ac:dyDescent="0.35">
      <c r="A4" s="8"/>
      <c r="B4" s="14"/>
      <c r="C4" s="44">
        <v>2017</v>
      </c>
      <c r="D4" s="15"/>
    </row>
    <row r="5" spans="1:4" ht="18" x14ac:dyDescent="0.35">
      <c r="A5" s="10" t="s">
        <v>6</v>
      </c>
      <c r="B5" s="16"/>
      <c r="C5" s="64">
        <v>97.278000000000006</v>
      </c>
      <c r="D5" s="15"/>
    </row>
    <row r="6" spans="1:4" ht="18" x14ac:dyDescent="0.35">
      <c r="A6" s="8" t="s">
        <v>7</v>
      </c>
      <c r="B6" s="16"/>
      <c r="C6" s="64">
        <f>1118.644+22.501</f>
        <v>1141.145</v>
      </c>
      <c r="D6" s="15"/>
    </row>
    <row r="7" spans="1:4" ht="18" x14ac:dyDescent="0.35">
      <c r="A7" s="8" t="s">
        <v>8</v>
      </c>
      <c r="B7" s="16"/>
      <c r="C7" s="64">
        <f>11.206+337.764+1.631</f>
        <v>350.601</v>
      </c>
      <c r="D7" s="15"/>
    </row>
    <row r="8" spans="1:4" ht="18.600000000000001" thickBot="1" x14ac:dyDescent="0.4">
      <c r="A8" s="8"/>
      <c r="B8" s="17"/>
      <c r="C8" s="65">
        <f>SUM(C5:C7)</f>
        <v>1589.0239999999999</v>
      </c>
      <c r="D8" s="15"/>
    </row>
    <row r="9" spans="1:4" ht="18.600000000000001" thickTop="1" x14ac:dyDescent="0.35">
      <c r="A9" s="8"/>
      <c r="B9" s="18"/>
      <c r="C9" s="66"/>
      <c r="D9" s="15"/>
    </row>
    <row r="10" spans="1:4" ht="18" x14ac:dyDescent="0.35">
      <c r="A10" s="8" t="s">
        <v>9</v>
      </c>
      <c r="B10" s="16"/>
      <c r="C10" s="64">
        <v>118.462</v>
      </c>
      <c r="D10" s="15"/>
    </row>
    <row r="11" spans="1:4" ht="18" x14ac:dyDescent="0.35">
      <c r="A11" s="8" t="s">
        <v>10</v>
      </c>
      <c r="B11" s="16"/>
      <c r="C11" s="64">
        <v>575.16300000000001</v>
      </c>
      <c r="D11" s="15"/>
    </row>
    <row r="12" spans="1:4" ht="18" x14ac:dyDescent="0.35">
      <c r="A12" s="8" t="s">
        <v>11</v>
      </c>
      <c r="B12" s="16"/>
      <c r="C12" s="64">
        <v>5.2629999999999999</v>
      </c>
      <c r="D12" s="15"/>
    </row>
    <row r="13" spans="1:4" ht="18" x14ac:dyDescent="0.35">
      <c r="A13" s="8" t="s">
        <v>12</v>
      </c>
      <c r="B13" s="16"/>
      <c r="C13" s="64">
        <v>78.150999999999996</v>
      </c>
      <c r="D13" s="15"/>
    </row>
    <row r="14" spans="1:4" ht="18" x14ac:dyDescent="0.35">
      <c r="A14" s="8" t="s">
        <v>13</v>
      </c>
      <c r="B14" s="16"/>
      <c r="C14" s="64">
        <f>156.229+1.066+157.935</f>
        <v>315.23</v>
      </c>
      <c r="D14" s="15"/>
    </row>
    <row r="15" spans="1:4" ht="18" x14ac:dyDescent="0.35">
      <c r="A15" s="8" t="s">
        <v>14</v>
      </c>
      <c r="B15" s="16"/>
      <c r="C15" s="67">
        <v>496.755</v>
      </c>
      <c r="D15" s="15"/>
    </row>
    <row r="16" spans="1:4" ht="18.600000000000001" thickBot="1" x14ac:dyDescent="0.4">
      <c r="A16" s="8"/>
      <c r="B16" s="17"/>
      <c r="C16" s="68">
        <f>SUM(C10:C15)</f>
        <v>1589.0239999999999</v>
      </c>
      <c r="D16" s="15"/>
    </row>
    <row r="17" spans="1:4" ht="18.600000000000001" thickTop="1" x14ac:dyDescent="0.35">
      <c r="A17" s="15"/>
      <c r="B17" s="15"/>
      <c r="C17" s="15"/>
      <c r="D17" s="15"/>
    </row>
    <row r="18" spans="1:4" ht="18" x14ac:dyDescent="0.35">
      <c r="A18" s="15"/>
      <c r="B18" s="15"/>
      <c r="C18" s="15"/>
      <c r="D18" s="15"/>
    </row>
  </sheetData>
  <mergeCells count="2">
    <mergeCell ref="A2:C2"/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5" sqref="A25"/>
    </sheetView>
  </sheetViews>
  <sheetFormatPr defaultRowHeight="14.4" x14ac:dyDescent="0.3"/>
  <cols>
    <col min="1" max="1" width="35.109375" customWidth="1"/>
    <col min="2" max="2" width="10.44140625" bestFit="1" customWidth="1"/>
    <col min="3" max="3" width="1.5546875" style="12" customWidth="1"/>
  </cols>
  <sheetData>
    <row r="1" spans="1:3" x14ac:dyDescent="0.3">
      <c r="A1" s="52" t="s">
        <v>93</v>
      </c>
      <c r="B1" s="52"/>
    </row>
    <row r="2" spans="1:3" x14ac:dyDescent="0.3">
      <c r="A2" s="52" t="s">
        <v>96</v>
      </c>
      <c r="B2" s="52"/>
    </row>
    <row r="3" spans="1:3" ht="18" x14ac:dyDescent="0.35">
      <c r="A3" s="20" t="s">
        <v>39</v>
      </c>
    </row>
    <row r="4" spans="1:3" ht="18" x14ac:dyDescent="0.35">
      <c r="B4" s="13"/>
    </row>
    <row r="5" spans="1:3" ht="18" x14ac:dyDescent="0.35">
      <c r="A5" s="8"/>
      <c r="B5" s="45" t="s">
        <v>38</v>
      </c>
      <c r="C5" s="3"/>
    </row>
    <row r="6" spans="1:3" ht="18" x14ac:dyDescent="0.35">
      <c r="A6" s="23" t="s">
        <v>15</v>
      </c>
      <c r="B6" s="9"/>
      <c r="C6" s="9"/>
    </row>
    <row r="7" spans="1:3" ht="18" x14ac:dyDescent="0.35">
      <c r="A7" s="10" t="s">
        <v>24</v>
      </c>
      <c r="B7" s="69">
        <v>41.526000000000003</v>
      </c>
      <c r="C7" s="11"/>
    </row>
    <row r="8" spans="1:3" ht="18" x14ac:dyDescent="0.35">
      <c r="A8" s="10" t="s">
        <v>25</v>
      </c>
      <c r="B8" s="69">
        <f>59.885+3.32</f>
        <v>63.204999999999998</v>
      </c>
      <c r="C8" s="11"/>
    </row>
    <row r="9" spans="1:3" ht="18" x14ac:dyDescent="0.35">
      <c r="A9" s="10" t="s">
        <v>26</v>
      </c>
      <c r="B9" s="69">
        <v>2.2909999999999999</v>
      </c>
      <c r="C9" s="11"/>
    </row>
    <row r="10" spans="1:3" ht="18" x14ac:dyDescent="0.35">
      <c r="A10" s="10" t="s">
        <v>27</v>
      </c>
      <c r="B10" s="70">
        <f>0.525+3.025-0.46</f>
        <v>3.09</v>
      </c>
      <c r="C10" s="11"/>
    </row>
    <row r="11" spans="1:3" ht="18" x14ac:dyDescent="0.35">
      <c r="A11" s="21" t="s">
        <v>28</v>
      </c>
      <c r="B11" s="71">
        <f>SUM(B7:B10)</f>
        <v>110.11199999999999</v>
      </c>
      <c r="C11" s="22"/>
    </row>
    <row r="12" spans="1:3" ht="18" x14ac:dyDescent="0.35">
      <c r="A12" s="10" t="s">
        <v>29</v>
      </c>
      <c r="B12" s="69">
        <v>-38.418999999999997</v>
      </c>
      <c r="C12" s="11"/>
    </row>
    <row r="13" spans="1:3" ht="18" x14ac:dyDescent="0.35">
      <c r="A13" s="10" t="s">
        <v>30</v>
      </c>
      <c r="B13" s="70">
        <v>-0.55500000000000005</v>
      </c>
      <c r="C13" s="11"/>
    </row>
    <row r="14" spans="1:3" ht="18" x14ac:dyDescent="0.35">
      <c r="A14" s="21" t="s">
        <v>31</v>
      </c>
      <c r="B14" s="71">
        <f>SUM(B11:B13)</f>
        <v>71.137999999999991</v>
      </c>
      <c r="C14" s="22"/>
    </row>
    <row r="15" spans="1:3" ht="18" x14ac:dyDescent="0.35">
      <c r="A15" s="10" t="s">
        <v>32</v>
      </c>
      <c r="B15" s="70">
        <v>-91.703999999999994</v>
      </c>
      <c r="C15" s="11"/>
    </row>
    <row r="16" spans="1:3" ht="18" x14ac:dyDescent="0.35">
      <c r="A16" s="21" t="s">
        <v>33</v>
      </c>
      <c r="B16" s="71">
        <f>SUM(B14:B15)</f>
        <v>-20.566000000000003</v>
      </c>
      <c r="C16" s="22"/>
    </row>
    <row r="17" spans="1:3" ht="18" x14ac:dyDescent="0.35">
      <c r="A17" s="8" t="s">
        <v>34</v>
      </c>
      <c r="B17" s="72">
        <v>-0.14399999999999999</v>
      </c>
      <c r="C17" s="19"/>
    </row>
    <row r="18" spans="1:3" ht="18" x14ac:dyDescent="0.35">
      <c r="A18" s="21" t="s">
        <v>35</v>
      </c>
      <c r="B18" s="71">
        <f>SUM(B16:B17)</f>
        <v>-20.71</v>
      </c>
      <c r="C18" s="22"/>
    </row>
    <row r="19" spans="1:3" ht="18" x14ac:dyDescent="0.35">
      <c r="A19" s="10" t="s">
        <v>16</v>
      </c>
      <c r="B19" s="69">
        <v>20.71</v>
      </c>
      <c r="C19" s="11"/>
    </row>
    <row r="20" spans="1:3" ht="18.600000000000001" thickBot="1" x14ac:dyDescent="0.4">
      <c r="A20" s="23" t="s">
        <v>36</v>
      </c>
      <c r="B20" s="73">
        <f>SUM(B18:B19)</f>
        <v>0</v>
      </c>
      <c r="C20" s="22"/>
    </row>
    <row r="21" spans="1:3" ht="15" thickTop="1" x14ac:dyDescent="0.3"/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Rates</TermName>
          <TermId xmlns="http://schemas.microsoft.com/office/infopath/2007/PartnerControls">975a3675-b94d-41a0-8e96-934742b59ddb</TermId>
        </TermInfo>
      </Terms>
    </TopicTaxHTField0>
    <Published_x0020_Document_x0020_Status xmlns="bb9f5cce-8978-4b57-8055-abe6ee7aa763" xsi:nil="true"/>
    <IconOverlay xmlns="http://schemas.microsoft.com/sharepoint/v4" xsi:nil="true"/>
    <Year xmlns="bb9f5cce-8978-4b57-8055-abe6ee7aa763">2019</Year>
    <TaxCatchAll xmlns="bb9f5cce-8978-4b57-8055-abe6ee7aa763">
      <Value>3</Value>
    </TaxCatchAll>
    <Project xmlns="bb9f5cce-8978-4b57-8055-abe6ee7aa763">2019 General Rate Application</Proje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5DBA7BAEDEB27D4681D4E87CBA92B08A" ma:contentTypeVersion="1" ma:contentTypeDescription="" ma:contentTypeScope="" ma:versionID="d1f9cb4f780cc362a037efb2a6bdbc89">
  <xsd:schema xmlns:xsd="http://www.w3.org/2001/XMLSchema" xmlns:xs="http://www.w3.org/2001/XMLSchema" xmlns:p="http://schemas.microsoft.com/office/2006/metadata/properties" xmlns:ns2="bb9f5cce-8978-4b57-8055-abe6ee7aa763" xmlns:ns4="http://schemas.microsoft.com/sharepoint/v4" targetNamespace="http://schemas.microsoft.com/office/2006/metadata/properties" ma:root="true" ma:fieldsID="6483747af063c27bc17d6f3ea0e712e3" ns2:_="" ns4:_="">
    <xsd:import namespace="bb9f5cce-8978-4b57-8055-abe6ee7aa76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54dc7821-0d06-4c55-90f8-b86f231f40bc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86C7BD-97A0-417D-B5B6-0BE902AFBF89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bb9f5cce-8978-4b57-8055-abe6ee7aa763"/>
    <ds:schemaRef ds:uri="http://schemas.microsoft.com/sharepoint/v4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D82086-9476-4D2D-9E7A-7ABDF66BCD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DDD600-7330-43AA-8519-9C2BA050B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Metrics</vt:lpstr>
      <vt:lpstr>Calcs</vt:lpstr>
      <vt:lpstr>IS</vt:lpstr>
      <vt:lpstr>BS</vt:lpstr>
      <vt:lpstr>CF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McDonald, Brian</dc:creator>
  <cp:lastModifiedBy>Colbourne, Fred</cp:lastModifiedBy>
  <cp:lastPrinted>2018-09-09T15:58:21Z</cp:lastPrinted>
  <dcterms:created xsi:type="dcterms:W3CDTF">2017-01-25T16:52:23Z</dcterms:created>
  <dcterms:modified xsi:type="dcterms:W3CDTF">2018-09-11T19:44:54Z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0x01010087DDA8BE470AFE4993BEDB69BC0B40F60201005DBA7BAEDEB27D4681D4E87CBA92B08A</vt:lpwstr>
  </property>
  <property fmtid="{D5CDD505-2E9C-101B-9397-08002B2CF9AE}" pid="3" name="Topic">
    <vt:lpwstr>3;#Rates|975a3675-b94d-41a0-8e96-934742b59ddb</vt:lpwstr>
  </property>
</Properties>
</file>